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255" windowWidth="14355" windowHeight="161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33" i="1" l="1"/>
  <c r="B34" i="1"/>
  <c r="A34" i="1"/>
  <c r="A33" i="1"/>
  <c r="G26" i="1" l="1"/>
  <c r="D20" i="1"/>
  <c r="D7" i="1"/>
  <c r="D19" i="1" s="1"/>
  <c r="D16" i="1" l="1"/>
  <c r="D15" i="1"/>
  <c r="D18" i="1" s="1"/>
  <c r="D17" i="1"/>
  <c r="D10" i="1"/>
  <c r="O14" i="1" l="1"/>
  <c r="Q14" i="1"/>
  <c r="S14" i="1"/>
  <c r="L14" i="1"/>
  <c r="J14" i="1"/>
  <c r="N14" i="1"/>
  <c r="P14" i="1"/>
  <c r="M14" i="1"/>
  <c r="J8" i="1"/>
  <c r="R14" i="1"/>
  <c r="K14" i="1"/>
  <c r="J9" i="1"/>
  <c r="I16" i="1"/>
  <c r="K9" i="1" l="1"/>
  <c r="K8" i="1"/>
  <c r="I17" i="1"/>
  <c r="O10" i="1"/>
  <c r="Q10" i="1"/>
  <c r="S10" i="1"/>
  <c r="U10" i="1"/>
  <c r="W10" i="1"/>
  <c r="Y10" i="1"/>
  <c r="AA10" i="1"/>
  <c r="AC10" i="1"/>
  <c r="L10" i="1"/>
  <c r="N10" i="1"/>
  <c r="R10" i="1"/>
  <c r="Z10" i="1"/>
  <c r="K10" i="1"/>
  <c r="P10" i="1"/>
  <c r="T10" i="1"/>
  <c r="X10" i="1"/>
  <c r="AB10" i="1"/>
  <c r="M10" i="1"/>
  <c r="V10" i="1"/>
  <c r="J10" i="1"/>
  <c r="L9" i="1" l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H29" i="1"/>
  <c r="H31" i="1"/>
  <c r="H33" i="1"/>
  <c r="H35" i="1"/>
  <c r="H37" i="1"/>
  <c r="H39" i="1"/>
  <c r="H41" i="1"/>
  <c r="H43" i="1"/>
  <c r="H45" i="1"/>
  <c r="H30" i="1"/>
  <c r="H32" i="1"/>
  <c r="H34" i="1"/>
  <c r="H36" i="1"/>
  <c r="H38" i="1"/>
  <c r="H40" i="1"/>
  <c r="H42" i="1"/>
  <c r="H44" i="1"/>
  <c r="H28" i="1"/>
  <c r="I21" i="1"/>
  <c r="I28" i="1"/>
  <c r="J11" i="1" s="1"/>
  <c r="L8" i="1"/>
  <c r="J12" i="1" l="1"/>
  <c r="M8" i="1"/>
  <c r="J28" i="1"/>
  <c r="J13" i="1" l="1"/>
  <c r="N8" i="1"/>
  <c r="J18" i="1"/>
  <c r="K28" i="1"/>
  <c r="J21" i="1" l="1"/>
  <c r="O8" i="1"/>
  <c r="I29" i="1"/>
  <c r="K11" i="1" l="1"/>
  <c r="J29" i="1"/>
  <c r="P8" i="1"/>
  <c r="K12" i="1" l="1"/>
  <c r="K13" i="1" s="1"/>
  <c r="Q8" i="1"/>
  <c r="K18" i="1"/>
  <c r="K29" i="1"/>
  <c r="K21" i="1" l="1"/>
  <c r="I30" i="1"/>
  <c r="L11" i="1" s="1"/>
  <c r="R8" i="1"/>
  <c r="L12" i="1" l="1"/>
  <c r="L13" i="1" s="1"/>
  <c r="J30" i="1"/>
  <c r="L18" i="1" s="1"/>
  <c r="S8" i="1"/>
  <c r="L21" i="1" l="1"/>
  <c r="K30" i="1"/>
  <c r="I31" i="1" s="1"/>
  <c r="T8" i="1"/>
  <c r="U8" i="1" l="1"/>
  <c r="M11" i="1"/>
  <c r="J31" i="1"/>
  <c r="M12" i="1" l="1"/>
  <c r="M13" i="1" s="1"/>
  <c r="V8" i="1"/>
  <c r="M18" i="1"/>
  <c r="K31" i="1"/>
  <c r="M21" i="1" l="1"/>
  <c r="I32" i="1"/>
  <c r="W8" i="1"/>
  <c r="X8" i="1" l="1"/>
  <c r="N11" i="1"/>
  <c r="J32" i="1"/>
  <c r="N12" i="1" l="1"/>
  <c r="N13" i="1" s="1"/>
  <c r="Y8" i="1"/>
  <c r="N18" i="1"/>
  <c r="K32" i="1"/>
  <c r="N21" i="1" l="1"/>
  <c r="I33" i="1"/>
  <c r="Z8" i="1"/>
  <c r="AA8" i="1" l="1"/>
  <c r="O11" i="1"/>
  <c r="J33" i="1"/>
  <c r="O12" i="1" l="1"/>
  <c r="AB8" i="1"/>
  <c r="O18" i="1"/>
  <c r="K33" i="1"/>
  <c r="O13" i="1" l="1"/>
  <c r="O21" i="1" s="1"/>
  <c r="AC8" i="1"/>
  <c r="AC12" i="1" s="1"/>
  <c r="AC13" i="1" s="1"/>
  <c r="I34" i="1"/>
  <c r="P11" i="1" l="1"/>
  <c r="J34" i="1"/>
  <c r="P12" i="1" l="1"/>
  <c r="P18" i="1"/>
  <c r="K34" i="1"/>
  <c r="I35" i="1" s="1"/>
  <c r="P13" i="1" l="1"/>
  <c r="P21" i="1" s="1"/>
  <c r="Q11" i="1"/>
  <c r="J35" i="1"/>
  <c r="Q12" i="1" l="1"/>
  <c r="Q13" i="1" s="1"/>
  <c r="K35" i="1"/>
  <c r="Q18" i="1"/>
  <c r="Q21" i="1" l="1"/>
  <c r="I36" i="1"/>
  <c r="R11" i="1" l="1"/>
  <c r="J36" i="1"/>
  <c r="R12" i="1" l="1"/>
  <c r="R13" i="1" s="1"/>
  <c r="R18" i="1"/>
  <c r="K36" i="1"/>
  <c r="R21" i="1" l="1"/>
  <c r="I37" i="1"/>
  <c r="S11" i="1" l="1"/>
  <c r="J37" i="1"/>
  <c r="S12" i="1" l="1"/>
  <c r="S13" i="1" s="1"/>
  <c r="S18" i="1"/>
  <c r="K37" i="1"/>
  <c r="S21" i="1" l="1"/>
  <c r="I38" i="1"/>
  <c r="T11" i="1" l="1"/>
  <c r="J38" i="1"/>
  <c r="T12" i="1" l="1"/>
  <c r="T13" i="1" s="1"/>
  <c r="T18" i="1"/>
  <c r="K38" i="1"/>
  <c r="T21" i="1" l="1"/>
  <c r="I39" i="1"/>
  <c r="U11" i="1" l="1"/>
  <c r="J39" i="1"/>
  <c r="U12" i="1" l="1"/>
  <c r="U13" i="1" s="1"/>
  <c r="U18" i="1"/>
  <c r="K39" i="1"/>
  <c r="U21" i="1" l="1"/>
  <c r="I40" i="1"/>
  <c r="V11" i="1" l="1"/>
  <c r="J40" i="1"/>
  <c r="V12" i="1" l="1"/>
  <c r="V13" i="1" s="1"/>
  <c r="V18" i="1"/>
  <c r="K40" i="1"/>
  <c r="I41" i="1" s="1"/>
  <c r="V21" i="1" l="1"/>
  <c r="W11" i="1"/>
  <c r="J41" i="1"/>
  <c r="W12" i="1" l="1"/>
  <c r="W13" i="1" s="1"/>
  <c r="K41" i="1"/>
  <c r="W18" i="1"/>
  <c r="W21" i="1" l="1"/>
  <c r="I42" i="1"/>
  <c r="X11" i="1" l="1"/>
  <c r="J42" i="1"/>
  <c r="X12" i="1" l="1"/>
  <c r="X13" i="1" s="1"/>
  <c r="X18" i="1"/>
  <c r="K42" i="1"/>
  <c r="X21" i="1" l="1"/>
  <c r="I43" i="1"/>
  <c r="Y11" i="1" l="1"/>
  <c r="J43" i="1"/>
  <c r="Y12" i="1" l="1"/>
  <c r="Y13" i="1" s="1"/>
  <c r="Y18" i="1"/>
  <c r="K43" i="1"/>
  <c r="Y21" i="1" l="1"/>
  <c r="I44" i="1"/>
  <c r="Z11" i="1" l="1"/>
  <c r="J44" i="1"/>
  <c r="Z12" i="1" l="1"/>
  <c r="Z13" i="1" s="1"/>
  <c r="Z18" i="1"/>
  <c r="K44" i="1"/>
  <c r="Z21" i="1" l="1"/>
  <c r="I45" i="1"/>
  <c r="AA11" i="1" l="1"/>
  <c r="J45" i="1"/>
  <c r="AA12" i="1" l="1"/>
  <c r="AA13" i="1" s="1"/>
  <c r="AA18" i="1"/>
  <c r="K45" i="1"/>
  <c r="AA21" i="1" l="1"/>
  <c r="I46" i="1"/>
  <c r="AB11" i="1" l="1"/>
  <c r="J46" i="1"/>
  <c r="AB12" i="1" l="1"/>
  <c r="AB13" i="1" s="1"/>
  <c r="AB18" i="1"/>
  <c r="K46" i="1"/>
  <c r="I47" i="1" s="1"/>
  <c r="J47" i="1" s="1"/>
  <c r="AB21" i="1" l="1"/>
  <c r="K47" i="1"/>
  <c r="AC18" i="1"/>
  <c r="AC21" i="1" s="1"/>
  <c r="I23" i="1" s="1"/>
  <c r="I22" i="1" l="1"/>
</calcChain>
</file>

<file path=xl/comments1.xml><?xml version="1.0" encoding="utf-8"?>
<comments xmlns="http://schemas.openxmlformats.org/spreadsheetml/2006/main">
  <authors>
    <author>Frank Peters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Frank Peters:</t>
        </r>
        <r>
          <rPr>
            <sz val="9"/>
            <color indexed="81"/>
            <rFont val="Tahoma"/>
            <family val="2"/>
          </rPr>
          <t xml:space="preserve">
Unused credits may be carried forward for up to 20 years following the year they were generated or carried back 1 year if the taxpayer files an amended return.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Frank Peters:</t>
        </r>
        <r>
          <rPr>
            <sz val="9"/>
            <color indexed="81"/>
            <rFont val="Tahoma"/>
            <family val="2"/>
          </rPr>
          <t xml:space="preserve">
Credits in excess of tax liability in a given year may be carried forward up to 7 years</t>
        </r>
      </text>
    </comment>
  </commentList>
</comments>
</file>

<file path=xl/sharedStrings.xml><?xml version="1.0" encoding="utf-8"?>
<sst xmlns="http://schemas.openxmlformats.org/spreadsheetml/2006/main" count="73" uniqueCount="66">
  <si>
    <t>MWh/year</t>
  </si>
  <si>
    <t>MWh</t>
  </si>
  <si>
    <t>federal production tax credit for the first 10 years</t>
  </si>
  <si>
    <t>state production tax credit for the first 10 years</t>
  </si>
  <si>
    <t xml:space="preserve">electricity </t>
  </si>
  <si>
    <t>turbine costs</t>
  </si>
  <si>
    <t>annual lease</t>
  </si>
  <si>
    <t>insurance</t>
  </si>
  <si>
    <t>unlevered ROI as an IRR</t>
  </si>
  <si>
    <t>annual maintanence after the second year</t>
  </si>
  <si>
    <t>Time Period</t>
  </si>
  <si>
    <t>Invest</t>
  </si>
  <si>
    <t>Rev (tax cr direct)</t>
  </si>
  <si>
    <t>Net Cash</t>
  </si>
  <si>
    <t>expenses inflation rate</t>
  </si>
  <si>
    <t>revenue inflation rate</t>
  </si>
  <si>
    <t>IRR</t>
  </si>
  <si>
    <t>Finance (25% down)</t>
  </si>
  <si>
    <t>Principal</t>
  </si>
  <si>
    <t>Principal Payback (18 yrs)</t>
  </si>
  <si>
    <t>Financing (18 years, 25% down)</t>
  </si>
  <si>
    <t>Payment</t>
  </si>
  <si>
    <t>Interest</t>
  </si>
  <si>
    <t>Rem Bal</t>
  </si>
  <si>
    <t>ASSUMPTIONS</t>
  </si>
  <si>
    <t>Capacity Factor</t>
  </si>
  <si>
    <t>Years of loan</t>
  </si>
  <si>
    <t>years of turbine</t>
  </si>
  <si>
    <t>NPV</t>
  </si>
  <si>
    <t>Current value of investment</t>
  </si>
  <si>
    <t>Internal rate of return on invested capital</t>
  </si>
  <si>
    <t>MW Wind Farm</t>
  </si>
  <si>
    <t>Expenses</t>
  </si>
  <si>
    <t xml:space="preserve">  costs for remainder of system  (Balance of Plant)</t>
  </si>
  <si>
    <t># of turbines</t>
  </si>
  <si>
    <t>size of wind farm</t>
  </si>
  <si>
    <t>capacity factor</t>
  </si>
  <si>
    <t>electricity generated</t>
  </si>
  <si>
    <t>value of PTC</t>
  </si>
  <si>
    <t>value of state TC</t>
  </si>
  <si>
    <t>capital for turbines</t>
  </si>
  <si>
    <t>capital for BOP</t>
  </si>
  <si>
    <t>land lease</t>
  </si>
  <si>
    <t>property tax</t>
  </si>
  <si>
    <t>O&amp;M</t>
  </si>
  <si>
    <t>life of loan</t>
  </si>
  <si>
    <t>life of turbine</t>
  </si>
  <si>
    <t>inflation rate for expenses</t>
  </si>
  <si>
    <t>inflation rate for revenue</t>
  </si>
  <si>
    <t>INCOME</t>
  </si>
  <si>
    <t>EXPENSES</t>
  </si>
  <si>
    <t>FINANCING</t>
  </si>
  <si>
    <t>turbine size</t>
  </si>
  <si>
    <t xml:space="preserve">MW  </t>
  </si>
  <si>
    <t>turbines</t>
  </si>
  <si>
    <t>per MW</t>
  </si>
  <si>
    <t xml:space="preserve">Property tax </t>
  </si>
  <si>
    <t>of capital</t>
  </si>
  <si>
    <t>per turbine</t>
  </si>
  <si>
    <t>Operational Revenue</t>
  </si>
  <si>
    <t>Depreciation</t>
  </si>
  <si>
    <t>Interest Expense</t>
  </si>
  <si>
    <t xml:space="preserve">Income Tax    (40%) </t>
  </si>
  <si>
    <t>Revenue</t>
  </si>
  <si>
    <t>Interest (discount) rate for borrowed funds</t>
  </si>
  <si>
    <t>value of 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</si>
</sst>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%"/>
    <numFmt numFmtId="168" formatCode="&quot;$&quot;#,##0.0_);[Red]\(&quot;$&quot;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80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6" fontId="0" fillId="0" borderId="0" xfId="0" applyNumberFormat="1"/>
    <xf numFmtId="9" fontId="0" fillId="0" borderId="0" xfId="0" applyNumberFormat="1"/>
    <xf numFmtId="0" fontId="4" fillId="0" borderId="0" xfId="0" applyFont="1" applyAlignment="1">
      <alignment vertical="center"/>
    </xf>
    <xf numFmtId="44" fontId="0" fillId="0" borderId="0" xfId="2" applyFont="1"/>
    <xf numFmtId="165" fontId="0" fillId="0" borderId="0" xfId="3" applyNumberFormat="1" applyFont="1"/>
    <xf numFmtId="9" fontId="0" fillId="0" borderId="0" xfId="3" applyFont="1"/>
    <xf numFmtId="166" fontId="0" fillId="0" borderId="0" xfId="2" applyNumberFormat="1" applyFont="1"/>
    <xf numFmtId="166" fontId="0" fillId="0" borderId="0" xfId="0" applyNumberFormat="1"/>
    <xf numFmtId="0" fontId="5" fillId="0" borderId="0" xfId="0" applyFont="1"/>
    <xf numFmtId="164" fontId="0" fillId="0" borderId="0" xfId="0" applyNumberFormat="1"/>
    <xf numFmtId="6" fontId="0" fillId="0" borderId="1" xfId="2" applyNumberFormat="1" applyFont="1" applyFill="1" applyBorder="1"/>
    <xf numFmtId="44" fontId="0" fillId="0" borderId="0" xfId="2" applyFont="1" applyFill="1" applyBorder="1"/>
    <xf numFmtId="167" fontId="0" fillId="0" borderId="0" xfId="3" applyNumberFormat="1" applyFont="1"/>
    <xf numFmtId="10" fontId="6" fillId="0" borderId="0" xfId="2" quotePrefix="1" applyNumberFormat="1" applyFont="1"/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0" fontId="0" fillId="0" borderId="0" xfId="3" applyNumberFormat="1" applyFont="1"/>
    <xf numFmtId="168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C47"/>
  <sheetViews>
    <sheetView tabSelected="1" zoomScaleNormal="100" workbookViewId="0">
      <selection activeCell="E36" sqref="E36"/>
    </sheetView>
  </sheetViews>
  <sheetFormatPr defaultRowHeight="15" x14ac:dyDescent="0.25"/>
  <cols>
    <col min="1" max="1" width="32.85546875" customWidth="1"/>
    <col min="2" max="2" width="14.5703125" customWidth="1"/>
    <col min="3" max="3" width="12.7109375" customWidth="1"/>
    <col min="4" max="4" width="14.28515625" bestFit="1" customWidth="1"/>
    <col min="5" max="5" width="17.140625" customWidth="1"/>
    <col min="6" max="6" width="48" customWidth="1"/>
    <col min="8" max="8" width="21.5703125" customWidth="1"/>
    <col min="9" max="9" width="22.5703125" customWidth="1"/>
    <col min="10" max="10" width="18.5703125" customWidth="1"/>
    <col min="11" max="11" width="18.42578125" customWidth="1"/>
    <col min="12" max="12" width="14.5703125" customWidth="1"/>
    <col min="13" max="13" width="16.7109375" customWidth="1"/>
    <col min="14" max="14" width="14.7109375" customWidth="1"/>
    <col min="15" max="15" width="15.7109375" customWidth="1"/>
    <col min="16" max="16" width="18.42578125" customWidth="1"/>
    <col min="17" max="17" width="15.140625" customWidth="1"/>
    <col min="18" max="18" width="18.7109375" customWidth="1"/>
    <col min="19" max="19" width="17.42578125" customWidth="1"/>
    <col min="20" max="20" width="16.85546875" customWidth="1"/>
    <col min="21" max="21" width="17.7109375" customWidth="1"/>
    <col min="22" max="22" width="17.42578125" customWidth="1"/>
    <col min="23" max="23" width="16.7109375" customWidth="1"/>
    <col min="24" max="24" width="15.85546875" customWidth="1"/>
    <col min="25" max="25" width="16.28515625" customWidth="1"/>
    <col min="26" max="26" width="15.7109375" customWidth="1"/>
    <col min="27" max="27" width="15.85546875" customWidth="1"/>
    <col min="28" max="28" width="16.140625" customWidth="1"/>
    <col min="29" max="29" width="21.42578125" customWidth="1"/>
  </cols>
  <sheetData>
    <row r="3" spans="1:29" x14ac:dyDescent="0.25">
      <c r="J3" s="9"/>
    </row>
    <row r="4" spans="1:29" x14ac:dyDescent="0.25">
      <c r="D4" s="10" t="s">
        <v>24</v>
      </c>
    </row>
    <row r="5" spans="1:29" x14ac:dyDescent="0.25">
      <c r="A5" t="s">
        <v>52</v>
      </c>
      <c r="D5">
        <v>1.5</v>
      </c>
      <c r="E5" t="s">
        <v>53</v>
      </c>
    </row>
    <row r="6" spans="1:29" x14ac:dyDescent="0.25">
      <c r="A6" t="s">
        <v>34</v>
      </c>
      <c r="D6">
        <v>30</v>
      </c>
      <c r="E6" t="s">
        <v>54</v>
      </c>
      <c r="I6" t="s">
        <v>10</v>
      </c>
    </row>
    <row r="7" spans="1:29" x14ac:dyDescent="0.25">
      <c r="A7" t="s">
        <v>35</v>
      </c>
      <c r="D7">
        <f>D5*D6</f>
        <v>45</v>
      </c>
      <c r="E7" t="s">
        <v>31</v>
      </c>
      <c r="I7">
        <v>0</v>
      </c>
      <c r="J7">
        <v>1</v>
      </c>
      <c r="K7">
        <v>2</v>
      </c>
      <c r="L7">
        <v>3</v>
      </c>
      <c r="M7">
        <v>4</v>
      </c>
      <c r="N7">
        <v>5</v>
      </c>
      <c r="O7">
        <v>6</v>
      </c>
      <c r="P7">
        <v>7</v>
      </c>
      <c r="Q7">
        <v>8</v>
      </c>
      <c r="R7">
        <v>9</v>
      </c>
      <c r="S7">
        <v>10</v>
      </c>
      <c r="T7">
        <v>11</v>
      </c>
      <c r="U7">
        <v>12</v>
      </c>
      <c r="V7">
        <v>13</v>
      </c>
      <c r="W7">
        <v>14</v>
      </c>
      <c r="X7">
        <v>15</v>
      </c>
      <c r="Y7">
        <v>16</v>
      </c>
      <c r="Z7">
        <v>17</v>
      </c>
      <c r="AA7">
        <v>18</v>
      </c>
      <c r="AB7">
        <v>19</v>
      </c>
      <c r="AC7">
        <v>20</v>
      </c>
    </row>
    <row r="8" spans="1:29" x14ac:dyDescent="0.25">
      <c r="A8" t="s">
        <v>36</v>
      </c>
      <c r="D8" s="3">
        <v>0.4</v>
      </c>
      <c r="E8" t="s">
        <v>25</v>
      </c>
      <c r="H8" t="s">
        <v>59</v>
      </c>
      <c r="I8" s="5"/>
      <c r="J8" s="8">
        <f>$D$10*$D$11</f>
        <v>8278200</v>
      </c>
      <c r="K8" s="8">
        <f t="shared" ref="K8:AC8" si="0">J8*(1+$D$27)</f>
        <v>8402373</v>
      </c>
      <c r="L8" s="8">
        <f t="shared" si="0"/>
        <v>8528408.5949999988</v>
      </c>
      <c r="M8" s="8">
        <f t="shared" si="0"/>
        <v>8656334.7239249982</v>
      </c>
      <c r="N8" s="8">
        <f t="shared" si="0"/>
        <v>8786179.7447838727</v>
      </c>
      <c r="O8" s="8">
        <f t="shared" si="0"/>
        <v>8917972.4409556296</v>
      </c>
      <c r="P8" s="8">
        <f t="shared" si="0"/>
        <v>9051742.0275699627</v>
      </c>
      <c r="Q8" s="8">
        <f t="shared" si="0"/>
        <v>9187518.1579835117</v>
      </c>
      <c r="R8" s="8">
        <f t="shared" si="0"/>
        <v>9325330.9303532634</v>
      </c>
      <c r="S8" s="8">
        <f t="shared" si="0"/>
        <v>9465210.8943085615</v>
      </c>
      <c r="T8" s="8">
        <f t="shared" si="0"/>
        <v>9607189.0577231888</v>
      </c>
      <c r="U8" s="8">
        <f t="shared" si="0"/>
        <v>9751296.8935890365</v>
      </c>
      <c r="V8" s="8">
        <f t="shared" si="0"/>
        <v>9897566.3469928708</v>
      </c>
      <c r="W8" s="8">
        <f t="shared" si="0"/>
        <v>10046029.842197763</v>
      </c>
      <c r="X8" s="8">
        <f t="shared" si="0"/>
        <v>10196720.289830728</v>
      </c>
      <c r="Y8" s="8">
        <f t="shared" si="0"/>
        <v>10349671.094178187</v>
      </c>
      <c r="Z8" s="8">
        <f t="shared" si="0"/>
        <v>10504916.160590859</v>
      </c>
      <c r="AA8" s="8">
        <f t="shared" si="0"/>
        <v>10662489.902999721</v>
      </c>
      <c r="AB8" s="8">
        <f t="shared" si="0"/>
        <v>10822427.251544716</v>
      </c>
      <c r="AC8" s="8">
        <f t="shared" si="0"/>
        <v>10984763.660317885</v>
      </c>
    </row>
    <row r="9" spans="1:29" x14ac:dyDescent="0.25">
      <c r="A9" s="16" t="s">
        <v>49</v>
      </c>
      <c r="H9" t="s">
        <v>32</v>
      </c>
      <c r="I9" s="5"/>
      <c r="J9" s="8">
        <f>-($D$17+$D$18+$D$19)</f>
        <v>-1867500</v>
      </c>
      <c r="K9" s="8">
        <f>J9*(1+D26)</f>
        <v>-1895512.4999999998</v>
      </c>
      <c r="L9" s="8">
        <f t="shared" ref="L9" si="1">$K$9-$D$20</f>
        <v>-3695512.5</v>
      </c>
      <c r="M9" s="8">
        <f t="shared" ref="M9:AC9" si="2">L9*(1+$D$26)</f>
        <v>-3750945.1874999995</v>
      </c>
      <c r="N9" s="8">
        <f t="shared" si="2"/>
        <v>-3807209.365312499</v>
      </c>
      <c r="O9" s="8">
        <f t="shared" si="2"/>
        <v>-3864317.5057921861</v>
      </c>
      <c r="P9" s="8">
        <f t="shared" si="2"/>
        <v>-3922282.2683790685</v>
      </c>
      <c r="Q9" s="8">
        <f t="shared" si="2"/>
        <v>-3981116.5024047541</v>
      </c>
      <c r="R9" s="8">
        <f t="shared" si="2"/>
        <v>-4040833.2499408252</v>
      </c>
      <c r="S9" s="8">
        <f t="shared" si="2"/>
        <v>-4101445.7486899369</v>
      </c>
      <c r="T9" s="8">
        <f t="shared" si="2"/>
        <v>-4162967.4349202854</v>
      </c>
      <c r="U9" s="8">
        <f t="shared" si="2"/>
        <v>-4225411.9464440895</v>
      </c>
      <c r="V9" s="8">
        <f t="shared" si="2"/>
        <v>-4288793.1256407509</v>
      </c>
      <c r="W9" s="8">
        <f t="shared" si="2"/>
        <v>-4353125.0225253617</v>
      </c>
      <c r="X9" s="8">
        <f t="shared" si="2"/>
        <v>-4418421.8978632418</v>
      </c>
      <c r="Y9" s="8">
        <f t="shared" si="2"/>
        <v>-4484698.2263311902</v>
      </c>
      <c r="Z9" s="8">
        <f t="shared" si="2"/>
        <v>-4551968.6997261578</v>
      </c>
      <c r="AA9" s="8">
        <f t="shared" si="2"/>
        <v>-4620248.2302220501</v>
      </c>
      <c r="AB9" s="8">
        <f t="shared" si="2"/>
        <v>-4689551.95367538</v>
      </c>
      <c r="AC9" s="8">
        <f t="shared" si="2"/>
        <v>-4759895.2329805102</v>
      </c>
    </row>
    <row r="10" spans="1:29" x14ac:dyDescent="0.25">
      <c r="A10" t="s">
        <v>37</v>
      </c>
      <c r="D10" s="1">
        <f>D8*D7*24*365</f>
        <v>157680</v>
      </c>
      <c r="E10" t="s">
        <v>0</v>
      </c>
      <c r="H10" t="s">
        <v>60</v>
      </c>
      <c r="J10" s="9">
        <f>$I$16/20</f>
        <v>-3150000</v>
      </c>
      <c r="K10" s="9">
        <f>$I$16/20</f>
        <v>-3150000</v>
      </c>
      <c r="L10" s="9">
        <f>$I$16/20</f>
        <v>-3150000</v>
      </c>
      <c r="M10" s="9">
        <f>$I$16/20</f>
        <v>-3150000</v>
      </c>
      <c r="N10" s="9">
        <f t="shared" ref="N10:AC10" si="3">$I$16/20</f>
        <v>-3150000</v>
      </c>
      <c r="O10" s="9">
        <f t="shared" si="3"/>
        <v>-3150000</v>
      </c>
      <c r="P10" s="9">
        <f t="shared" si="3"/>
        <v>-3150000</v>
      </c>
      <c r="Q10" s="9">
        <f t="shared" si="3"/>
        <v>-3150000</v>
      </c>
      <c r="R10" s="9">
        <f t="shared" si="3"/>
        <v>-3150000</v>
      </c>
      <c r="S10" s="9">
        <f t="shared" si="3"/>
        <v>-3150000</v>
      </c>
      <c r="T10" s="9">
        <f t="shared" si="3"/>
        <v>-3150000</v>
      </c>
      <c r="U10" s="9">
        <f t="shared" si="3"/>
        <v>-3150000</v>
      </c>
      <c r="V10" s="9">
        <f t="shared" si="3"/>
        <v>-3150000</v>
      </c>
      <c r="W10" s="9">
        <f t="shared" si="3"/>
        <v>-3150000</v>
      </c>
      <c r="X10" s="9">
        <f t="shared" si="3"/>
        <v>-3150000</v>
      </c>
      <c r="Y10" s="9">
        <f t="shared" si="3"/>
        <v>-3150000</v>
      </c>
      <c r="Z10" s="9">
        <f t="shared" si="3"/>
        <v>-3150000</v>
      </c>
      <c r="AA10" s="9">
        <f t="shared" si="3"/>
        <v>-3150000</v>
      </c>
      <c r="AB10" s="9">
        <f t="shared" si="3"/>
        <v>-3150000</v>
      </c>
      <c r="AC10" s="9">
        <f t="shared" si="3"/>
        <v>-3150000</v>
      </c>
    </row>
    <row r="11" spans="1:29" x14ac:dyDescent="0.25">
      <c r="A11" t="s">
        <v>65</v>
      </c>
      <c r="D11" s="19">
        <v>52.5</v>
      </c>
      <c r="E11" t="s">
        <v>1</v>
      </c>
      <c r="F11" t="s">
        <v>4</v>
      </c>
      <c r="H11" t="s">
        <v>61</v>
      </c>
      <c r="J11" s="9">
        <f>-I28</f>
        <v>-3780000</v>
      </c>
      <c r="K11" s="9">
        <f>-I29</f>
        <v>-3679066.0774797131</v>
      </c>
      <c r="L11" s="9">
        <f>-I30</f>
        <v>-3570057.4411578034</v>
      </c>
      <c r="M11" s="9">
        <f>-I31</f>
        <v>-3452328.1139301416</v>
      </c>
      <c r="N11" s="9">
        <f>-I32</f>
        <v>-3325180.4405242656</v>
      </c>
      <c r="O11" s="9">
        <f>-I33</f>
        <v>-3187860.9532459206</v>
      </c>
      <c r="P11" s="9">
        <f>-I34</f>
        <v>-3039555.9069853076</v>
      </c>
      <c r="Q11" s="9">
        <f>-I35</f>
        <v>-2879386.4570238455</v>
      </c>
      <c r="R11" s="9">
        <f>-I36</f>
        <v>-2706403.4510654663</v>
      </c>
      <c r="S11" s="9">
        <f>-I37</f>
        <v>-2519581.8046304169</v>
      </c>
      <c r="T11" s="9">
        <f>-I38</f>
        <v>-2317814.4264805638</v>
      </c>
      <c r="U11" s="9">
        <f>-I39</f>
        <v>-2099905.6580787222</v>
      </c>
      <c r="V11" s="9">
        <f>-I40</f>
        <v>-1864564.1882047332</v>
      </c>
      <c r="W11" s="9">
        <f>-I41</f>
        <v>-1610395.4007408249</v>
      </c>
      <c r="X11" s="9">
        <f>-I42</f>
        <v>-1335893.1102798041</v>
      </c>
      <c r="Y11" s="9">
        <f>-I43</f>
        <v>-1039430.6365819018</v>
      </c>
      <c r="Z11" s="9">
        <f>-I44</f>
        <v>-719251.16498816712</v>
      </c>
      <c r="AA11" s="9">
        <f>-I45</f>
        <v>-373457.3356669338</v>
      </c>
      <c r="AB11" s="9">
        <f>-I46</f>
        <v>-1.7881393432617187E-9</v>
      </c>
      <c r="AC11" s="9">
        <v>0</v>
      </c>
    </row>
    <row r="12" spans="1:29" x14ac:dyDescent="0.25">
      <c r="A12" t="s">
        <v>38</v>
      </c>
      <c r="D12" s="1">
        <v>22</v>
      </c>
      <c r="E12" t="s">
        <v>1</v>
      </c>
      <c r="F12" t="s">
        <v>2</v>
      </c>
      <c r="H12" t="s">
        <v>63</v>
      </c>
      <c r="I12" s="5"/>
      <c r="J12" s="8">
        <f>J8+J9+J10+J11</f>
        <v>-519300</v>
      </c>
      <c r="K12" s="8">
        <f t="shared" ref="K12:AC12" si="4">K8+K9+K10+K11</f>
        <v>-322205.57747971313</v>
      </c>
      <c r="L12" s="8">
        <f t="shared" si="4"/>
        <v>-1887161.3461578046</v>
      </c>
      <c r="M12" s="8">
        <f t="shared" si="4"/>
        <v>-1696938.5775051434</v>
      </c>
      <c r="N12" s="8">
        <f t="shared" si="4"/>
        <v>-1496210.0610528919</v>
      </c>
      <c r="O12" s="8">
        <f t="shared" si="4"/>
        <v>-1284206.0180824767</v>
      </c>
      <c r="P12" s="8">
        <f t="shared" si="4"/>
        <v>-1060096.1477944129</v>
      </c>
      <c r="Q12" s="8">
        <f t="shared" si="4"/>
        <v>-822984.80144508788</v>
      </c>
      <c r="R12" s="8">
        <f t="shared" si="4"/>
        <v>-571905.77065302851</v>
      </c>
      <c r="S12" s="8">
        <f t="shared" si="4"/>
        <v>-305816.65901179193</v>
      </c>
      <c r="T12" s="8">
        <f t="shared" si="4"/>
        <v>-23592.803677659947</v>
      </c>
      <c r="U12" s="8">
        <f t="shared" si="4"/>
        <v>275979.28906622482</v>
      </c>
      <c r="V12" s="8">
        <f t="shared" si="4"/>
        <v>594209.03314738674</v>
      </c>
      <c r="W12" s="8">
        <f t="shared" si="4"/>
        <v>932509.41893157619</v>
      </c>
      <c r="X12" s="8">
        <f t="shared" si="4"/>
        <v>1292405.2816876816</v>
      </c>
      <c r="Y12" s="8">
        <f t="shared" si="4"/>
        <v>1675542.2312650946</v>
      </c>
      <c r="Z12" s="8">
        <f t="shared" si="4"/>
        <v>2083696.2958765342</v>
      </c>
      <c r="AA12" s="8">
        <f t="shared" si="4"/>
        <v>2518784.3371107373</v>
      </c>
      <c r="AB12" s="8">
        <f t="shared" si="4"/>
        <v>2982875.297869334</v>
      </c>
      <c r="AC12" s="8">
        <f t="shared" si="4"/>
        <v>3074868.4273373745</v>
      </c>
    </row>
    <row r="13" spans="1:29" x14ac:dyDescent="0.25">
      <c r="A13" t="s">
        <v>39</v>
      </c>
      <c r="D13">
        <v>7.5</v>
      </c>
      <c r="E13" t="s">
        <v>1</v>
      </c>
      <c r="F13" t="s">
        <v>3</v>
      </c>
      <c r="H13" t="s">
        <v>62</v>
      </c>
      <c r="I13" s="5"/>
      <c r="J13" s="8">
        <f>J12*-0.4</f>
        <v>207720</v>
      </c>
      <c r="K13" s="8">
        <f t="shared" ref="K13:AC13" si="5">K12*-0.4</f>
        <v>128882.23099188526</v>
      </c>
      <c r="L13" s="8">
        <f t="shared" si="5"/>
        <v>754864.53846312186</v>
      </c>
      <c r="M13" s="8">
        <f t="shared" si="5"/>
        <v>678775.43100205739</v>
      </c>
      <c r="N13" s="8">
        <f t="shared" si="5"/>
        <v>598484.02442115673</v>
      </c>
      <c r="O13" s="8">
        <f t="shared" si="5"/>
        <v>513682.40723299072</v>
      </c>
      <c r="P13" s="8">
        <f t="shared" si="5"/>
        <v>424038.45911776519</v>
      </c>
      <c r="Q13" s="8">
        <f t="shared" si="5"/>
        <v>329193.92057803518</v>
      </c>
      <c r="R13" s="8">
        <f t="shared" si="5"/>
        <v>228762.30826121141</v>
      </c>
      <c r="S13" s="8">
        <f t="shared" si="5"/>
        <v>122326.66360471677</v>
      </c>
      <c r="T13" s="8">
        <f t="shared" si="5"/>
        <v>9437.1214710639797</v>
      </c>
      <c r="U13" s="8">
        <f t="shared" si="5"/>
        <v>-110391.71562648994</v>
      </c>
      <c r="V13" s="8">
        <f t="shared" si="5"/>
        <v>-237683.61325895472</v>
      </c>
      <c r="W13" s="8">
        <f t="shared" si="5"/>
        <v>-373003.76757263049</v>
      </c>
      <c r="X13" s="8">
        <f t="shared" si="5"/>
        <v>-516962.11267507263</v>
      </c>
      <c r="Y13" s="8">
        <f t="shared" si="5"/>
        <v>-670216.89250603784</v>
      </c>
      <c r="Z13" s="8">
        <f t="shared" si="5"/>
        <v>-833478.51835061377</v>
      </c>
      <c r="AA13" s="8">
        <f t="shared" si="5"/>
        <v>-1007513.734844295</v>
      </c>
      <c r="AB13" s="8">
        <f t="shared" si="5"/>
        <v>-1193150.1191477336</v>
      </c>
      <c r="AC13" s="8">
        <f t="shared" si="5"/>
        <v>-1229947.37093495</v>
      </c>
    </row>
    <row r="14" spans="1:29" x14ac:dyDescent="0.25">
      <c r="A14" s="16" t="s">
        <v>50</v>
      </c>
      <c r="H14" t="s">
        <v>12</v>
      </c>
      <c r="I14" s="5"/>
      <c r="J14" s="8">
        <f>($D$12+$D$13)*$D$10</f>
        <v>4651560</v>
      </c>
      <c r="K14" s="8">
        <f t="shared" ref="K14:S14" si="6">($D$12+$D$13)*$D$10</f>
        <v>4651560</v>
      </c>
      <c r="L14" s="8">
        <f t="shared" si="6"/>
        <v>4651560</v>
      </c>
      <c r="M14" s="8">
        <f t="shared" si="6"/>
        <v>4651560</v>
      </c>
      <c r="N14" s="8">
        <f t="shared" si="6"/>
        <v>4651560</v>
      </c>
      <c r="O14" s="8">
        <f t="shared" si="6"/>
        <v>4651560</v>
      </c>
      <c r="P14" s="8">
        <f t="shared" si="6"/>
        <v>4651560</v>
      </c>
      <c r="Q14" s="8">
        <f t="shared" si="6"/>
        <v>4651560</v>
      </c>
      <c r="R14" s="8">
        <f t="shared" si="6"/>
        <v>4651560</v>
      </c>
      <c r="S14" s="8">
        <f t="shared" si="6"/>
        <v>4651560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</row>
    <row r="15" spans="1:29" x14ac:dyDescent="0.25">
      <c r="A15" t="s">
        <v>40</v>
      </c>
      <c r="B15" s="8">
        <v>1000000</v>
      </c>
      <c r="C15" t="s">
        <v>55</v>
      </c>
      <c r="D15" s="1">
        <f>B15*D7</f>
        <v>45000000</v>
      </c>
      <c r="E15" t="s">
        <v>5</v>
      </c>
      <c r="I15" s="5"/>
      <c r="J15" s="5"/>
      <c r="K15" s="5"/>
      <c r="L15" s="5"/>
      <c r="M15" s="5"/>
      <c r="N15" s="5"/>
      <c r="O15" s="5"/>
    </row>
    <row r="16" spans="1:29" s="9" customFormat="1" x14ac:dyDescent="0.25">
      <c r="A16" s="9" t="s">
        <v>41</v>
      </c>
      <c r="B16" s="9">
        <v>400000</v>
      </c>
      <c r="C16" s="9" t="s">
        <v>55</v>
      </c>
      <c r="D16" s="1">
        <f>B16*D7</f>
        <v>18000000</v>
      </c>
      <c r="E16" t="s">
        <v>33</v>
      </c>
      <c r="F16"/>
      <c r="G16"/>
      <c r="H16" t="s">
        <v>11</v>
      </c>
      <c r="I16" s="8">
        <f>-(D15+D16)</f>
        <v>-63000000</v>
      </c>
      <c r="J16" s="8"/>
      <c r="K16" s="8"/>
      <c r="L16" s="8"/>
      <c r="M16" s="8"/>
      <c r="N16" s="8"/>
      <c r="O16" s="8"/>
    </row>
    <row r="17" spans="1:29" s="9" customFormat="1" x14ac:dyDescent="0.25">
      <c r="A17" s="9" t="s">
        <v>42</v>
      </c>
      <c r="B17" s="9">
        <v>3500</v>
      </c>
      <c r="C17" s="9" t="s">
        <v>55</v>
      </c>
      <c r="D17" s="1">
        <f>B17*D7</f>
        <v>157500</v>
      </c>
      <c r="E17" t="s">
        <v>6</v>
      </c>
      <c r="F17"/>
      <c r="G17"/>
      <c r="H17" t="s">
        <v>17</v>
      </c>
      <c r="I17" s="8">
        <f>-(I16*0.75)</f>
        <v>47250000</v>
      </c>
      <c r="J17" s="8"/>
      <c r="K17" s="8"/>
      <c r="L17" s="8"/>
      <c r="M17" s="8"/>
      <c r="N17" s="8"/>
      <c r="O17" s="8"/>
    </row>
    <row r="18" spans="1:29" s="9" customFormat="1" x14ac:dyDescent="0.25">
      <c r="A18" s="9" t="s">
        <v>43</v>
      </c>
      <c r="B18" s="18">
        <v>0.02</v>
      </c>
      <c r="C18" s="9" t="s">
        <v>57</v>
      </c>
      <c r="D18" s="1">
        <f>B18*(D15+D16)</f>
        <v>1260000</v>
      </c>
      <c r="E18" t="s">
        <v>56</v>
      </c>
      <c r="F18"/>
      <c r="G18"/>
      <c r="H18" t="s">
        <v>19</v>
      </c>
      <c r="J18" s="9">
        <f>J28</f>
        <v>-1261674.0315035842</v>
      </c>
      <c r="K18" s="9">
        <f>J29</f>
        <v>-1362607.9540238711</v>
      </c>
      <c r="L18" s="9">
        <f>J30</f>
        <v>-1471616.5903457808</v>
      </c>
      <c r="M18" s="9">
        <f>J31</f>
        <v>-1589345.9175734427</v>
      </c>
      <c r="N18" s="9">
        <f>J32</f>
        <v>-1716493.5909793186</v>
      </c>
      <c r="O18" s="9">
        <f>J33</f>
        <v>-1853813.0782576636</v>
      </c>
      <c r="P18" s="9">
        <f>J34</f>
        <v>-2002118.1245182767</v>
      </c>
      <c r="Q18" s="9">
        <f>J35</f>
        <v>-2162287.5744797387</v>
      </c>
      <c r="R18" s="9">
        <f>J36</f>
        <v>-2335270.580438118</v>
      </c>
      <c r="S18" s="9">
        <f>J37</f>
        <v>-2522092.2268731673</v>
      </c>
      <c r="T18" s="9">
        <f>J38</f>
        <v>-2723859.6050230204</v>
      </c>
      <c r="U18" s="9">
        <f>J39</f>
        <v>-2941768.373424862</v>
      </c>
      <c r="V18" s="9">
        <f>J40</f>
        <v>-3177109.843298851</v>
      </c>
      <c r="W18" s="9">
        <f>J41</f>
        <v>-3431278.6307627596</v>
      </c>
      <c r="X18" s="9">
        <f>J42</f>
        <v>-3705780.9212237801</v>
      </c>
      <c r="Y18" s="9">
        <f>J43</f>
        <v>-4002243.3949216823</v>
      </c>
      <c r="Z18" s="9">
        <f>J44</f>
        <v>-4322422.8665154167</v>
      </c>
      <c r="AA18" s="9">
        <f>J45</f>
        <v>-4668216.6958366502</v>
      </c>
      <c r="AB18" s="9">
        <f>J46</f>
        <v>1.7881393432617187E-9</v>
      </c>
      <c r="AC18" s="9">
        <f>J47</f>
        <v>1.9311904907226566E-9</v>
      </c>
    </row>
    <row r="19" spans="1:29" s="9" customFormat="1" x14ac:dyDescent="0.25">
      <c r="A19" s="9" t="s">
        <v>7</v>
      </c>
      <c r="B19" s="9">
        <v>10000</v>
      </c>
      <c r="C19" s="9" t="s">
        <v>55</v>
      </c>
      <c r="D19" s="1">
        <f>B19*D7</f>
        <v>450000</v>
      </c>
      <c r="E19" t="s">
        <v>7</v>
      </c>
      <c r="F19"/>
      <c r="G19"/>
      <c r="H19"/>
    </row>
    <row r="20" spans="1:29" s="9" customFormat="1" x14ac:dyDescent="0.25">
      <c r="A20" s="9" t="s">
        <v>44</v>
      </c>
      <c r="B20" s="9">
        <v>60000</v>
      </c>
      <c r="C20" s="9" t="s">
        <v>58</v>
      </c>
      <c r="D20" s="1">
        <f>B20*D6</f>
        <v>1800000</v>
      </c>
      <c r="E20" t="s">
        <v>9</v>
      </c>
      <c r="F20"/>
      <c r="G20"/>
      <c r="H2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s="9" customFormat="1" ht="15.75" thickBot="1" x14ac:dyDescent="0.3">
      <c r="A21" s="17" t="s">
        <v>51</v>
      </c>
      <c r="D21" s="1"/>
      <c r="E21"/>
      <c r="F21"/>
      <c r="G21"/>
      <c r="H21" t="s">
        <v>13</v>
      </c>
      <c r="I21" s="8">
        <f>I16+I17</f>
        <v>-15750000</v>
      </c>
      <c r="J21" s="8">
        <f>J8+J9+J11+J13+J14+J18</f>
        <v>6228305.9684964158</v>
      </c>
      <c r="K21" s="8">
        <f t="shared" ref="K21:AC21" si="7">K8+K9+K11+K13+K14+K18</f>
        <v>6245628.6994883008</v>
      </c>
      <c r="L21" s="8">
        <f t="shared" si="7"/>
        <v>5197646.6019595359</v>
      </c>
      <c r="M21" s="8">
        <f t="shared" si="7"/>
        <v>5194050.9359234711</v>
      </c>
      <c r="N21" s="8">
        <f t="shared" si="7"/>
        <v>5187340.3723889459</v>
      </c>
      <c r="O21" s="8">
        <f t="shared" si="7"/>
        <v>5177223.3108928502</v>
      </c>
      <c r="P21" s="8">
        <f t="shared" si="7"/>
        <v>5163384.186805075</v>
      </c>
      <c r="Q21" s="8">
        <f t="shared" si="7"/>
        <v>5145481.5446532089</v>
      </c>
      <c r="R21" s="8">
        <f t="shared" si="7"/>
        <v>5123145.9571700655</v>
      </c>
      <c r="S21" s="8">
        <f t="shared" si="7"/>
        <v>5095977.7777197585</v>
      </c>
      <c r="T21" s="8">
        <f t="shared" si="7"/>
        <v>411984.71277038381</v>
      </c>
      <c r="U21" s="8">
        <f t="shared" si="7"/>
        <v>373819.20001487294</v>
      </c>
      <c r="V21" s="8">
        <f t="shared" si="7"/>
        <v>329415.57658958109</v>
      </c>
      <c r="W21" s="8">
        <f t="shared" si="7"/>
        <v>278227.02059618616</v>
      </c>
      <c r="X21" s="8">
        <f t="shared" si="7"/>
        <v>219662.2477888288</v>
      </c>
      <c r="Y21" s="8">
        <f t="shared" si="7"/>
        <v>153081.94383737491</v>
      </c>
      <c r="Z21" s="8">
        <f t="shared" si="7"/>
        <v>77794.911010503769</v>
      </c>
      <c r="AA21" s="8">
        <f t="shared" si="7"/>
        <v>-6946.093570208177</v>
      </c>
      <c r="AB21" s="8">
        <f t="shared" si="7"/>
        <v>4939725.1787216021</v>
      </c>
      <c r="AC21" s="8">
        <f t="shared" si="7"/>
        <v>4994921.0564024262</v>
      </c>
    </row>
    <row r="22" spans="1:29" ht="15.75" thickBot="1" x14ac:dyDescent="0.3">
      <c r="A22" s="9" t="s">
        <v>8</v>
      </c>
      <c r="B22" s="9"/>
      <c r="C22" s="9"/>
      <c r="D22" s="3">
        <v>0.09</v>
      </c>
      <c r="E22" t="s">
        <v>8</v>
      </c>
      <c r="H22" t="s">
        <v>28</v>
      </c>
      <c r="I22" s="12">
        <f>NPV(G26,I21:AC21)</f>
        <v>21958160.676973861</v>
      </c>
      <c r="J22" s="13" t="s">
        <v>29</v>
      </c>
      <c r="K22" s="5"/>
      <c r="L22" s="5"/>
      <c r="M22" s="5"/>
      <c r="N22" s="5"/>
      <c r="O22" s="5"/>
    </row>
    <row r="23" spans="1:29" x14ac:dyDescent="0.25">
      <c r="A23" s="9" t="s">
        <v>64</v>
      </c>
      <c r="D23" s="3">
        <v>0.08</v>
      </c>
      <c r="E23" s="4"/>
      <c r="H23" t="s">
        <v>16</v>
      </c>
      <c r="I23" s="15">
        <f>IRR(I21:AC21)</f>
        <v>0.34316341024375108</v>
      </c>
      <c r="J23" s="5" t="s">
        <v>30</v>
      </c>
      <c r="K23" s="5"/>
      <c r="L23" s="5"/>
      <c r="M23" s="5"/>
      <c r="N23" s="5"/>
      <c r="O23" s="5"/>
    </row>
    <row r="24" spans="1:29" x14ac:dyDescent="0.25">
      <c r="A24" s="9" t="s">
        <v>45</v>
      </c>
      <c r="D24">
        <v>18</v>
      </c>
      <c r="E24" s="4" t="s">
        <v>26</v>
      </c>
      <c r="T24" s="8"/>
    </row>
    <row r="25" spans="1:29" x14ac:dyDescent="0.25">
      <c r="A25" s="9" t="s">
        <v>46</v>
      </c>
      <c r="D25">
        <v>20</v>
      </c>
      <c r="E25" t="s">
        <v>27</v>
      </c>
      <c r="N25" s="8">
        <v>6589634.8085879022</v>
      </c>
      <c r="T25" s="8"/>
    </row>
    <row r="26" spans="1:29" x14ac:dyDescent="0.25">
      <c r="A26" s="9" t="s">
        <v>47</v>
      </c>
      <c r="D26" s="6">
        <v>1.4999999999999999E-2</v>
      </c>
      <c r="E26" t="s">
        <v>14</v>
      </c>
      <c r="G26" s="7">
        <f>D23</f>
        <v>0.08</v>
      </c>
      <c r="H26" t="s">
        <v>20</v>
      </c>
      <c r="N26" s="8">
        <v>-4974412.5</v>
      </c>
      <c r="O26" s="9"/>
      <c r="T26" s="9"/>
    </row>
    <row r="27" spans="1:29" x14ac:dyDescent="0.25">
      <c r="A27" s="9" t="s">
        <v>48</v>
      </c>
      <c r="D27" s="6">
        <v>1.4999999999999999E-2</v>
      </c>
      <c r="E27" t="s">
        <v>15</v>
      </c>
      <c r="H27" t="s">
        <v>21</v>
      </c>
      <c r="I27" t="s">
        <v>22</v>
      </c>
      <c r="J27" t="s">
        <v>18</v>
      </c>
      <c r="K27" t="s">
        <v>23</v>
      </c>
      <c r="N27" s="9">
        <v>-3150000</v>
      </c>
      <c r="O27" s="9"/>
      <c r="T27" s="9"/>
    </row>
    <row r="28" spans="1:29" x14ac:dyDescent="0.25">
      <c r="G28">
        <v>1</v>
      </c>
      <c r="H28" s="2">
        <f>PMT($G$26,18,$I$17)</f>
        <v>-5041674.0315035842</v>
      </c>
      <c r="I28" s="2">
        <f>$I$17*G26</f>
        <v>3780000</v>
      </c>
      <c r="J28" s="2">
        <f>H28+I28</f>
        <v>-1261674.0315035842</v>
      </c>
      <c r="K28" s="2">
        <f>I17+J28</f>
        <v>45988325.968496412</v>
      </c>
      <c r="M28" s="3"/>
      <c r="N28" s="9">
        <v>-3325180.4405242656</v>
      </c>
      <c r="O28" s="9"/>
      <c r="T28" s="8"/>
    </row>
    <row r="29" spans="1:29" x14ac:dyDescent="0.25">
      <c r="G29">
        <v>2</v>
      </c>
      <c r="H29" s="2">
        <f t="shared" ref="H29:H45" si="8">PMT($G$26,18,$I$17)</f>
        <v>-5041674.0315035842</v>
      </c>
      <c r="I29" s="2">
        <f>K28*$G$26</f>
        <v>3679066.0774797131</v>
      </c>
      <c r="J29" s="2">
        <f>H29+I29</f>
        <v>-1362607.9540238711</v>
      </c>
      <c r="K29" s="2">
        <f>K28+J29</f>
        <v>44625718.014472544</v>
      </c>
      <c r="N29" s="8">
        <v>-4859958.1319363639</v>
      </c>
      <c r="O29" s="9"/>
      <c r="P29" s="3"/>
      <c r="T29" s="8"/>
    </row>
    <row r="30" spans="1:29" x14ac:dyDescent="0.25">
      <c r="G30">
        <v>3</v>
      </c>
      <c r="H30" s="2">
        <f t="shared" si="8"/>
        <v>-5041674.0315035842</v>
      </c>
      <c r="I30" s="2">
        <f t="shared" ref="I30:I47" si="9">K29*$G$26</f>
        <v>3570057.4411578034</v>
      </c>
      <c r="J30" s="2">
        <f t="shared" ref="J30:J47" si="10">H30+I30</f>
        <v>-1471616.5903457808</v>
      </c>
      <c r="K30" s="2">
        <f t="shared" ref="K30:K47" si="11">K29+J30</f>
        <v>43154101.424126767</v>
      </c>
      <c r="N30" s="8">
        <v>1943983.2527745457</v>
      </c>
      <c r="O30" s="9"/>
      <c r="T30" s="8"/>
    </row>
    <row r="31" spans="1:29" x14ac:dyDescent="0.25">
      <c r="G31">
        <v>4</v>
      </c>
      <c r="H31" s="2">
        <f t="shared" si="8"/>
        <v>-5041674.0315035842</v>
      </c>
      <c r="I31" s="2">
        <f t="shared" si="9"/>
        <v>3452328.1139301416</v>
      </c>
      <c r="J31" s="2">
        <f t="shared" si="10"/>
        <v>-1589345.9175734427</v>
      </c>
      <c r="K31" s="2">
        <f t="shared" si="11"/>
        <v>41564755.506553322</v>
      </c>
      <c r="N31" s="8">
        <v>4070114.9999999991</v>
      </c>
      <c r="O31" s="9"/>
    </row>
    <row r="32" spans="1:29" x14ac:dyDescent="0.25">
      <c r="G32">
        <v>5</v>
      </c>
      <c r="H32" s="2">
        <f t="shared" si="8"/>
        <v>-5041674.0315035842</v>
      </c>
      <c r="I32" s="2">
        <f t="shared" si="9"/>
        <v>3325180.4405242656</v>
      </c>
      <c r="J32" s="2">
        <f t="shared" si="10"/>
        <v>-1716493.5909793186</v>
      </c>
      <c r="K32" s="2">
        <f t="shared" si="11"/>
        <v>39848261.915574007</v>
      </c>
      <c r="N32" s="5"/>
      <c r="O32" s="9"/>
      <c r="T32" s="9"/>
    </row>
    <row r="33" spans="1:20" x14ac:dyDescent="0.25">
      <c r="A33" t="str">
        <f>H22</f>
        <v>NPV</v>
      </c>
      <c r="B33" s="8">
        <f>I22</f>
        <v>21958160.676973861</v>
      </c>
      <c r="D33" s="11"/>
      <c r="G33">
        <v>6</v>
      </c>
      <c r="H33" s="2">
        <f t="shared" si="8"/>
        <v>-5041674.0315035842</v>
      </c>
      <c r="I33" s="2">
        <f t="shared" si="9"/>
        <v>3187860.9532459206</v>
      </c>
      <c r="J33" s="2">
        <f t="shared" si="10"/>
        <v>-1853813.0782576636</v>
      </c>
      <c r="K33" s="2">
        <f t="shared" si="11"/>
        <v>37994448.837316342</v>
      </c>
      <c r="N33" s="8"/>
      <c r="O33" s="9"/>
      <c r="T33" s="9"/>
    </row>
    <row r="34" spans="1:20" x14ac:dyDescent="0.25">
      <c r="A34" t="str">
        <f>H23</f>
        <v>IRR</v>
      </c>
      <c r="B34" s="7">
        <f>I23</f>
        <v>0.34316341024375108</v>
      </c>
      <c r="G34">
        <v>7</v>
      </c>
      <c r="H34" s="2">
        <f t="shared" si="8"/>
        <v>-5041674.0315035842</v>
      </c>
      <c r="I34" s="2">
        <f t="shared" si="9"/>
        <v>3039555.9069853076</v>
      </c>
      <c r="J34" s="2">
        <f t="shared" si="10"/>
        <v>-2002118.1245182767</v>
      </c>
      <c r="K34" s="2">
        <f t="shared" si="11"/>
        <v>35992330.712798066</v>
      </c>
      <c r="N34" s="8"/>
      <c r="O34" s="9"/>
      <c r="T34" s="9"/>
    </row>
    <row r="35" spans="1:20" x14ac:dyDescent="0.25">
      <c r="G35">
        <v>8</v>
      </c>
      <c r="H35" s="2">
        <f t="shared" si="8"/>
        <v>-5041674.0315035842</v>
      </c>
      <c r="I35" s="2">
        <f t="shared" si="9"/>
        <v>2879386.4570238455</v>
      </c>
      <c r="J35" s="2">
        <f t="shared" si="10"/>
        <v>-2162287.5744797387</v>
      </c>
      <c r="K35" s="2">
        <f t="shared" si="11"/>
        <v>33830043.13831833</v>
      </c>
      <c r="N35" s="9">
        <v>-1716493.5909793186</v>
      </c>
      <c r="O35" s="9"/>
      <c r="T35" s="9"/>
    </row>
    <row r="36" spans="1:20" x14ac:dyDescent="0.25">
      <c r="D36" s="14"/>
      <c r="G36">
        <v>9</v>
      </c>
      <c r="H36" s="2">
        <f t="shared" si="8"/>
        <v>-5041674.0315035842</v>
      </c>
      <c r="I36" s="2">
        <f t="shared" si="9"/>
        <v>2706403.4510654663</v>
      </c>
      <c r="J36" s="2">
        <f t="shared" si="10"/>
        <v>-2335270.580438118</v>
      </c>
      <c r="K36" s="2">
        <f t="shared" si="11"/>
        <v>31494772.557880212</v>
      </c>
      <c r="N36" s="9"/>
      <c r="O36" s="9"/>
      <c r="T36" s="8"/>
    </row>
    <row r="37" spans="1:20" x14ac:dyDescent="0.25">
      <c r="D37" s="7"/>
      <c r="G37">
        <v>10</v>
      </c>
      <c r="H37" s="2">
        <f t="shared" si="8"/>
        <v>-5041674.0315035842</v>
      </c>
      <c r="I37" s="2">
        <f t="shared" si="9"/>
        <v>2519581.8046304169</v>
      </c>
      <c r="J37" s="2">
        <f t="shared" si="10"/>
        <v>-2522092.2268731673</v>
      </c>
      <c r="K37" s="2">
        <f t="shared" si="11"/>
        <v>28972680.331007045</v>
      </c>
      <c r="N37" s="9"/>
      <c r="O37" s="9"/>
      <c r="T37" s="8"/>
    </row>
    <row r="38" spans="1:20" x14ac:dyDescent="0.25">
      <c r="G38">
        <v>11</v>
      </c>
      <c r="H38" s="2">
        <f t="shared" si="8"/>
        <v>-5041674.0315035842</v>
      </c>
      <c r="I38" s="2">
        <f t="shared" si="9"/>
        <v>2317814.4264805638</v>
      </c>
      <c r="J38" s="2">
        <f t="shared" si="10"/>
        <v>-2723859.6050230204</v>
      </c>
      <c r="K38" s="2">
        <f t="shared" si="11"/>
        <v>26248820.725984026</v>
      </c>
      <c r="N38" s="8">
        <v>4297604.6617952269</v>
      </c>
      <c r="O38" s="9"/>
    </row>
    <row r="39" spans="1:20" x14ac:dyDescent="0.25">
      <c r="G39">
        <v>12</v>
      </c>
      <c r="H39" s="2">
        <f t="shared" si="8"/>
        <v>-5041674.0315035842</v>
      </c>
      <c r="I39" s="2">
        <f t="shared" si="9"/>
        <v>2099905.6580787222</v>
      </c>
      <c r="J39" s="2">
        <f t="shared" si="10"/>
        <v>-2941768.373424862</v>
      </c>
      <c r="K39" s="2">
        <f t="shared" si="11"/>
        <v>23307052.352559164</v>
      </c>
      <c r="O39" s="9"/>
    </row>
    <row r="40" spans="1:20" x14ac:dyDescent="0.25">
      <c r="G40">
        <v>13</v>
      </c>
      <c r="H40" s="2">
        <f t="shared" si="8"/>
        <v>-5041674.0315035842</v>
      </c>
      <c r="I40" s="2">
        <f t="shared" si="9"/>
        <v>1864564.1882047332</v>
      </c>
      <c r="J40" s="2">
        <f t="shared" si="10"/>
        <v>-3177109.843298851</v>
      </c>
      <c r="K40" s="2">
        <f t="shared" si="11"/>
        <v>20129942.509260312</v>
      </c>
      <c r="O40" s="9"/>
    </row>
    <row r="41" spans="1:20" x14ac:dyDescent="0.25">
      <c r="G41">
        <v>14</v>
      </c>
      <c r="H41" s="2">
        <f t="shared" si="8"/>
        <v>-5041674.0315035842</v>
      </c>
      <c r="I41" s="2">
        <f t="shared" si="9"/>
        <v>1610395.4007408249</v>
      </c>
      <c r="J41" s="2">
        <f t="shared" si="10"/>
        <v>-3431278.6307627596</v>
      </c>
      <c r="K41" s="2">
        <f t="shared" si="11"/>
        <v>16698663.878497552</v>
      </c>
    </row>
    <row r="42" spans="1:20" x14ac:dyDescent="0.25">
      <c r="G42">
        <v>15</v>
      </c>
      <c r="H42" s="2">
        <f t="shared" si="8"/>
        <v>-5041674.0315035842</v>
      </c>
      <c r="I42" s="2">
        <f t="shared" si="9"/>
        <v>1335893.1102798041</v>
      </c>
      <c r="J42" s="2">
        <f t="shared" si="10"/>
        <v>-3705780.9212237801</v>
      </c>
      <c r="K42" s="2">
        <f t="shared" si="11"/>
        <v>12992882.957273772</v>
      </c>
    </row>
    <row r="43" spans="1:20" x14ac:dyDescent="0.25">
      <c r="G43">
        <v>16</v>
      </c>
      <c r="H43" s="2">
        <f t="shared" si="8"/>
        <v>-5041674.0315035842</v>
      </c>
      <c r="I43" s="2">
        <f t="shared" si="9"/>
        <v>1039430.6365819018</v>
      </c>
      <c r="J43" s="2">
        <f t="shared" si="10"/>
        <v>-4002243.3949216823</v>
      </c>
      <c r="K43" s="2">
        <f t="shared" si="11"/>
        <v>8990639.5623520892</v>
      </c>
    </row>
    <row r="44" spans="1:20" x14ac:dyDescent="0.25">
      <c r="G44">
        <v>17</v>
      </c>
      <c r="H44" s="2">
        <f t="shared" si="8"/>
        <v>-5041674.0315035842</v>
      </c>
      <c r="I44" s="2">
        <f t="shared" si="9"/>
        <v>719251.16498816712</v>
      </c>
      <c r="J44" s="2">
        <f t="shared" si="10"/>
        <v>-4322422.8665154167</v>
      </c>
      <c r="K44" s="2">
        <f t="shared" si="11"/>
        <v>4668216.6958366726</v>
      </c>
    </row>
    <row r="45" spans="1:20" x14ac:dyDescent="0.25">
      <c r="G45">
        <v>18</v>
      </c>
      <c r="H45" s="2">
        <f t="shared" si="8"/>
        <v>-5041674.0315035842</v>
      </c>
      <c r="I45" s="2">
        <f t="shared" si="9"/>
        <v>373457.3356669338</v>
      </c>
      <c r="J45" s="2">
        <f t="shared" si="10"/>
        <v>-4668216.6958366502</v>
      </c>
      <c r="K45" s="2">
        <f t="shared" si="11"/>
        <v>2.2351741790771484E-8</v>
      </c>
    </row>
    <row r="46" spans="1:20" x14ac:dyDescent="0.25">
      <c r="G46">
        <v>19</v>
      </c>
      <c r="H46" s="2"/>
      <c r="I46" s="2">
        <f t="shared" si="9"/>
        <v>1.7881393432617187E-9</v>
      </c>
      <c r="J46" s="2">
        <f t="shared" si="10"/>
        <v>1.7881393432617187E-9</v>
      </c>
      <c r="K46" s="2">
        <f t="shared" si="11"/>
        <v>2.4139881134033205E-8</v>
      </c>
    </row>
    <row r="47" spans="1:20" x14ac:dyDescent="0.25">
      <c r="G47">
        <v>20</v>
      </c>
      <c r="H47" s="2"/>
      <c r="I47" s="2">
        <f t="shared" si="9"/>
        <v>1.9311904907226566E-9</v>
      </c>
      <c r="J47" s="2">
        <f t="shared" si="10"/>
        <v>1.9311904907226566E-9</v>
      </c>
      <c r="K47" s="2">
        <f t="shared" si="11"/>
        <v>2.607107162475586E-8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Peters</dc:creator>
  <cp:lastModifiedBy>Frank Peters</cp:lastModifiedBy>
  <dcterms:created xsi:type="dcterms:W3CDTF">2011-08-26T15:55:58Z</dcterms:created>
  <dcterms:modified xsi:type="dcterms:W3CDTF">2012-01-11T14:45:27Z</dcterms:modified>
</cp:coreProperties>
</file>